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270" windowWidth="2760" windowHeight="2400" tabRatio="842" activeTab="1"/>
  </bookViews>
  <sheets>
    <sheet name="№6" sheetId="1" r:id="rId1"/>
    <sheet name="№7" sheetId="2" r:id="rId2"/>
  </sheets>
  <definedNames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</definedNames>
  <calcPr fullCalcOnLoad="1"/>
</workbook>
</file>

<file path=xl/sharedStrings.xml><?xml version="1.0" encoding="utf-8"?>
<sst xmlns="http://schemas.openxmlformats.org/spreadsheetml/2006/main" count="87" uniqueCount="69">
  <si>
    <t>ИТОГО</t>
  </si>
  <si>
    <t>(1)</t>
  </si>
  <si>
    <t>(2)</t>
  </si>
  <si>
    <t>(3)</t>
  </si>
  <si>
    <t>(4)</t>
  </si>
  <si>
    <t>Коэффициент выравнивания доходов:</t>
  </si>
  <si>
    <t>Наименование поселения</t>
  </si>
  <si>
    <t>Объём средств, перечисляемых из ФК (РФФПП):</t>
  </si>
  <si>
    <t>(5)</t>
  </si>
  <si>
    <t>(6)</t>
  </si>
  <si>
    <t>(7)</t>
  </si>
  <si>
    <t>Размер дотации, тыс.рублей</t>
  </si>
  <si>
    <t>Предельный уровень бюджетной обеспеченности, руб./чел.</t>
  </si>
  <si>
    <t>Дополнительный объём средств за счёт собств. доходов:</t>
  </si>
  <si>
    <t>1-я часть (пропорционально числу жителей за счёт ФК)</t>
  </si>
  <si>
    <t>Расчётные налоговые доходы,                                                                             тыс.рублей</t>
  </si>
  <si>
    <t>Итоговый размер дотации (5)+(6)</t>
  </si>
  <si>
    <t>Городское поселение Суходол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</si>
  <si>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</si>
  <si>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</si>
  <si>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</si>
  <si>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</si>
  <si>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</si>
  <si>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</si>
  <si>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</si>
  <si>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</si>
  <si>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</si>
  <si>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</si>
  <si>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</si>
  <si>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</si>
  <si>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Сергиевск</t>
  </si>
  <si>
    <t>Сельское поселение Серноводск</t>
  </si>
  <si>
    <t>Сельское поселение Сургут</t>
  </si>
  <si>
    <t>Сельское поселение Черновка</t>
  </si>
  <si>
    <t>Расчёт дотаций из районного фонда финансовой поддержки поселений на 2011 год</t>
  </si>
  <si>
    <t>по муниципальному району Сергиевский</t>
  </si>
  <si>
    <t>Число жителей поселения, чел. на 01.01.2010г.</t>
  </si>
  <si>
    <t>Прогнозная бюджетная обеспеченность, руб./чел.
(2)/(3)*1000</t>
  </si>
  <si>
    <t>Приложение №6</t>
  </si>
  <si>
    <t xml:space="preserve">к Решению Собрания представителей </t>
  </si>
  <si>
    <t>Размер фонда за счёт средств областного бюджета (1 часть), тыс. рублей</t>
  </si>
  <si>
    <t>Размер фонда за счёт средств районного бюджета  (2 часть), тыс. рублей</t>
  </si>
  <si>
    <t>Итого районный фонд финансовой поддержки поселений, тыс. рублей</t>
  </si>
  <si>
    <t>Приложение № 7</t>
  </si>
  <si>
    <t>к Решению Собрания представителей</t>
  </si>
  <si>
    <t>тыс. рублей</t>
  </si>
  <si>
    <t>№</t>
  </si>
  <si>
    <t>Доходы (прогноз), без учета субвенций и субсидий из областного бюджета</t>
  </si>
  <si>
    <t>Расходы (прогноз), без учета субвенций и субсидий из областного бюджета</t>
  </si>
  <si>
    <t>Разница между доходами и расходами (прогноз)</t>
  </si>
  <si>
    <t xml:space="preserve">Расчет на </t>
  </si>
  <si>
    <t xml:space="preserve">Расчет размера предельного дефицита </t>
  </si>
  <si>
    <t>Размер средств из ФФПБП</t>
  </si>
  <si>
    <t>п/п</t>
  </si>
  <si>
    <t>Наименование поселений</t>
  </si>
  <si>
    <t>Размер дотации из РФФПП</t>
  </si>
  <si>
    <t>Налоговые доходы</t>
  </si>
  <si>
    <t>Неналоговые доходы</t>
  </si>
  <si>
    <t>Итого доходов</t>
  </si>
  <si>
    <t>покрытие</t>
  </si>
  <si>
    <t>дефицитов</t>
  </si>
  <si>
    <t>6=3+4+5</t>
  </si>
  <si>
    <t>8=6-7</t>
  </si>
  <si>
    <t>Итого:</t>
  </si>
  <si>
    <t>Распределение средств фонда финансовой помощи бюджетам поселений на 2011 год</t>
  </si>
  <si>
    <t>муниципального района Сергиевский №16</t>
  </si>
  <si>
    <t>от 21 декабря 2010 года</t>
  </si>
  <si>
    <t>муниципального района Сергиевский  №16</t>
  </si>
  <si>
    <t>от 21 декабря  2010г.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</si>
</sst>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_-* #,##0.000\ _р_._-;\-* #,##0.000\ _р_._-;_-* &quot;-&quot;??\ _р_._-;_-@_-"/>
    <numFmt numFmtId="179" formatCode="_-* #,##0.0000\ _р_._-;\-* #,##0.0000\ _р_._-;_-* &quot;-&quot;??\ _р_._-;_-@_-"/>
    <numFmt numFmtId="180" formatCode="_-* #,##0.00000\ _р_._-;\-* #,##0.00000\ _р_._-;_-* &quot;-&quot;??\ _р_._-;_-@_-"/>
    <numFmt numFmtId="181" formatCode="_-* #,##0.000000\ _р_._-;\-* #,##0.000000\ _р_._-;_-* &quot;-&quot;??\ _р_._-;_-@_-"/>
    <numFmt numFmtId="182" formatCode="_-* #,##0.0000000\ _р_._-;\-* #,##0.0000000\ _р_._-;_-* &quot;-&quot;??\ _р_._-;_-@_-"/>
    <numFmt numFmtId="183" formatCode="_-* #,##0.00000000\ _р_._-;\-* #,##0.00000000\ _р_._-;_-* &quot;-&quot;??\ _р_._-;_-@_-"/>
    <numFmt numFmtId="184" formatCode="_-* #,##0.000000000\ _р_._-;\-* #,##0.000000000\ _р_._-;_-* &quot;-&quot;??\ _р_._-;_-@_-"/>
    <numFmt numFmtId="185" formatCode="_-* #,##0.0000000000\ _р_._-;\-* #,##0.0000000000\ _р_._-;_-* &quot;-&quot;??\ _р_._-;_-@_-"/>
    <numFmt numFmtId="186" formatCode="_-* #,##0.00000000000\ _р_._-;\-* #,##0.00000000000\ _р_._-;_-* &quot;-&quot;??\ _р_._-;_-@_-"/>
    <numFmt numFmtId="187" formatCode="_-* #,##0.000000000000\ _р_._-;\-* #,##0.000000000000\ _р_._-;_-* &quot;-&quot;??\ _р_._-;_-@_-"/>
    <numFmt numFmtId="188" formatCode="_-* #,##0.0000000000000\ _р_._-;\-* #,##0.0000000000000\ _р_._-;_-* &quot;-&quot;??\ _р_._-;_-@_-"/>
    <numFmt numFmtId="189" formatCode="_-* #,##0.00000000000000\ _р_._-;\-* #,##0.00000000000000\ _р_._-;_-* &quot;-&quot;??\ _р_._-;_-@_-"/>
    <numFmt numFmtId="190" formatCode="_-* #,##0.000000000000000\ _р_._-;\-* #,##0.000000000000000\ _р_._-;_-* &quot;-&quot;??\ _р_._-;_-@_-"/>
    <numFmt numFmtId="191" formatCode="_-* #,##0.0000000000000000\ _р_._-;\-* #,##0.0000000000000000\ _р_._-;_-* &quot;-&quot;??\ _р_._-;_-@_-"/>
    <numFmt numFmtId="192" formatCode="_-* #,##0.00000000000000000\ _р_._-;\-* #,##0.00000000000000000\ _р_._-;_-* &quot;-&quot;??\ _р_._-;_-@_-"/>
    <numFmt numFmtId="193" formatCode="_-* #,##0.000000000000000000\ _р_._-;\-* #,##0.000000000000000000\ _р_._-;_-* &quot;-&quot;??\ _р_._-;_-@_-"/>
    <numFmt numFmtId="194" formatCode="_-* #,##0.0000000000000000000\ _р_._-;\-* #,##0.0000000000000000000\ _р_._-;_-* &quot;-&quot;??\ _р_._-;_-@_-"/>
    <numFmt numFmtId="195" formatCode="_-* #,##0.00000000000000000000\ _р_._-;\-* #,##0.00000000000000000000\ _р_._-;_-* &quot;-&quot;??\ _р_._-;_-@_-"/>
    <numFmt numFmtId="196" formatCode="_-* #,##0.000000000000000000000\ _р_._-;\-* #,##0.000000000000000000000\ _р_._-;_-* &quot;-&quot;??\ _р_._-;_-@_-"/>
    <numFmt numFmtId="197" formatCode="_-* #,##0.0000000000000000000000\ _р_._-;\-* #,##0.0000000000000000000000\ _р_._-;_-* &quot;-&quot;??\ _р_._-;_-@_-"/>
    <numFmt numFmtId="198" formatCode="_-* #,##0.00000000000000000000000\ _р_._-;\-* #,##0.00000000000000000000000\ _р_._-;_-* &quot;-&quot;??\ _р_._-;_-@_-"/>
    <numFmt numFmtId="199" formatCode="_-* #,##0.000000000000000000000000\ _р_._-;\-* #,##0.000000000000000000000000\ _р_._-;_-* &quot;-&quot;??\ _р_._-;_-@_-"/>
    <numFmt numFmtId="200" formatCode="_-* #,##0.0000000000000000000000000\ _р_._-;\-* #,##0.0000000000000000000000000\ _р_._-;_-* &quot;-&quot;??\ _р_._-;_-@_-"/>
    <numFmt numFmtId="201" formatCode="_-* #,##0.00000000000000000000000000\ _р_._-;\-* #,##0.00000000000000000000000000\ _р_._-;_-* &quot;-&quot;??\ _р_._-;_-@_-"/>
    <numFmt numFmtId="202" formatCode="_-* #,##0.0\ _р_._-;\-* #,##0.0\ _р_._-;_-* &quot;-&quot;??\ _р_._-;_-@_-"/>
    <numFmt numFmtId="203" formatCode="_-* #,##0\ _р_._-;\-* #,##0\ _р_._-;_-* &quot;-&quot;??\ _р_._-;_-@_-"/>
    <numFmt numFmtId="204" formatCode="0.0"/>
    <numFmt numFmtId="205" formatCode="#,##0.0"/>
    <numFmt numFmtId="206" formatCode="#,##0_ ;[Red]\-#,##0\ "/>
    <numFmt numFmtId="207" formatCode="#,##0.0_ ;[Red]\-#,##0.0\ "/>
    <numFmt numFmtId="208" formatCode="_-* #,##0_р_._-;\-* #,##0_р_._-;_-* &quot;-&quot;??_р_._-;_-@_-"/>
    <numFmt numFmtId="209" formatCode="0.0_ ;[Red]\-0.0\ "/>
    <numFmt numFmtId="210" formatCode="#,##0.000"/>
    <numFmt numFmtId="211" formatCode="#,##0.0000"/>
    <numFmt numFmtId="212" formatCode="#,##0.00000"/>
    <numFmt numFmtId="213" formatCode="#,##0.000000"/>
    <numFmt numFmtId="214" formatCode="#,##0.0000000"/>
    <numFmt numFmtId="215" formatCode="#,##0.00000000"/>
    <numFmt numFmtId="216" formatCode="#,##0.000000000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1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sz val="12"/>
      <color indexed="10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55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i/>
      <sz val="9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9" fillId="16" borderId="7" applyNumberFormat="0" applyAlignment="0" applyProtection="0"/>
    <xf numFmtId="0" fontId="8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6" borderId="0" applyNumberFormat="0" applyBorder="0" applyAlignment="0" applyProtection="0"/>
  </cellStyleXfs>
  <cellXfs count="83">
    <xf numFmtId="0" fontId="0" fillId="0" borderId="0" xfId="0" applyAlignment="1">
      <alignment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5" fillId="0" borderId="10" xfId="0" applyFont="1" applyFill="1" applyBorder="1" applyAlignment="1" applyProtection="1">
      <alignment vertical="center"/>
      <protection/>
    </xf>
    <xf numFmtId="0" fontId="25" fillId="0" borderId="11" xfId="0" applyFont="1" applyFill="1" applyBorder="1" applyAlignment="1" applyProtection="1">
      <alignment vertical="center"/>
      <protection/>
    </xf>
    <xf numFmtId="0" fontId="25" fillId="0" borderId="12" xfId="0" applyFont="1" applyFill="1" applyBorder="1" applyAlignment="1" applyProtection="1">
      <alignment vertical="center"/>
      <protection/>
    </xf>
    <xf numFmtId="3" fontId="26" fillId="0" borderId="13" xfId="0" applyNumberFormat="1" applyFont="1" applyFill="1" applyBorder="1" applyAlignment="1" applyProtection="1">
      <alignment horizontal="center" vertical="center"/>
      <protection locked="0"/>
    </xf>
    <xf numFmtId="205" fontId="17" fillId="0" borderId="0" xfId="0" applyNumberFormat="1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wrapText="1"/>
      <protection/>
    </xf>
    <xf numFmtId="205" fontId="27" fillId="0" borderId="0" xfId="0" applyNumberFormat="1" applyFont="1" applyFill="1" applyBorder="1" applyAlignment="1" applyProtection="1">
      <alignment vertical="center"/>
      <protection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205" fontId="17" fillId="0" borderId="0" xfId="0" applyNumberFormat="1" applyFont="1" applyFill="1" applyBorder="1" applyAlignment="1" applyProtection="1">
      <alignment horizontal="center" vertical="center"/>
      <protection/>
    </xf>
    <xf numFmtId="3" fontId="26" fillId="0" borderId="0" xfId="0" applyNumberFormat="1" applyFont="1" applyFill="1" applyBorder="1" applyAlignment="1" applyProtection="1">
      <alignment horizontal="center"/>
      <protection/>
    </xf>
    <xf numFmtId="205" fontId="18" fillId="0" borderId="0" xfId="0" applyNumberFormat="1" applyFont="1" applyFill="1" applyBorder="1" applyAlignment="1" applyProtection="1">
      <alignment vertical="center"/>
      <protection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205" fontId="25" fillId="0" borderId="13" xfId="0" applyNumberFormat="1" applyFont="1" applyFill="1" applyBorder="1" applyAlignment="1" applyProtection="1">
      <alignment horizontal="center" vertical="center" wrapText="1"/>
      <protection/>
    </xf>
    <xf numFmtId="49" fontId="25" fillId="0" borderId="13" xfId="0" applyNumberFormat="1" applyFont="1" applyFill="1" applyBorder="1" applyAlignment="1" applyProtection="1">
      <alignment horizontal="center" vertical="center" wrapText="1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205" fontId="26" fillId="0" borderId="13" xfId="0" applyNumberFormat="1" applyFont="1" applyFill="1" applyBorder="1" applyAlignment="1" applyProtection="1">
      <alignment vertical="center"/>
      <protection/>
    </xf>
    <xf numFmtId="3" fontId="26" fillId="0" borderId="13" xfId="0" applyNumberFormat="1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wrapText="1"/>
      <protection/>
    </xf>
    <xf numFmtId="205" fontId="26" fillId="0" borderId="0" xfId="0" applyNumberFormat="1" applyFont="1" applyFill="1" applyBorder="1" applyAlignment="1" applyProtection="1">
      <alignment horizontal="center" vertical="center"/>
      <protection locked="0"/>
    </xf>
    <xf numFmtId="205" fontId="26" fillId="0" borderId="0" xfId="0" applyNumberFormat="1" applyFont="1" applyFill="1" applyBorder="1" applyAlignment="1" applyProtection="1">
      <alignment horizontal="right"/>
      <protection/>
    </xf>
    <xf numFmtId="0" fontId="25" fillId="0" borderId="13" xfId="0" applyFont="1" applyFill="1" applyBorder="1" applyAlignment="1" applyProtection="1">
      <alignment/>
      <protection locked="0"/>
    </xf>
    <xf numFmtId="205" fontId="25" fillId="0" borderId="13" xfId="0" applyNumberFormat="1" applyFont="1" applyFill="1" applyBorder="1" applyAlignment="1" applyProtection="1">
      <alignment/>
      <protection locked="0"/>
    </xf>
    <xf numFmtId="3" fontId="25" fillId="0" borderId="13" xfId="0" applyNumberFormat="1" applyFont="1" applyFill="1" applyBorder="1" applyAlignment="1" applyProtection="1">
      <alignment/>
      <protection locked="0"/>
    </xf>
    <xf numFmtId="205" fontId="25" fillId="0" borderId="13" xfId="0" applyNumberFormat="1" applyFont="1" applyFill="1" applyBorder="1" applyAlignment="1" applyProtection="1">
      <alignment/>
      <protection/>
    </xf>
    <xf numFmtId="0" fontId="25" fillId="0" borderId="14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0" fillId="0" borderId="1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 locked="0"/>
    </xf>
    <xf numFmtId="205" fontId="0" fillId="0" borderId="13" xfId="0" applyNumberFormat="1" applyFont="1" applyFill="1" applyBorder="1" applyAlignment="1" applyProtection="1">
      <alignment/>
      <protection/>
    </xf>
    <xf numFmtId="205" fontId="0" fillId="0" borderId="13" xfId="0" applyNumberFormat="1" applyFont="1" applyFill="1" applyBorder="1" applyAlignment="1" applyProtection="1">
      <alignment/>
      <protection locked="0"/>
    </xf>
    <xf numFmtId="205" fontId="0" fillId="0" borderId="13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3" xfId="0" applyFill="1" applyBorder="1" applyAlignment="1">
      <alignment horizontal="center"/>
    </xf>
    <xf numFmtId="0" fontId="1" fillId="0" borderId="13" xfId="0" applyFont="1" applyFill="1" applyBorder="1" applyAlignment="1" applyProtection="1">
      <alignment/>
      <protection locked="0"/>
    </xf>
    <xf numFmtId="0" fontId="2" fillId="18" borderId="15" xfId="0" applyFont="1" applyFill="1" applyBorder="1" applyAlignment="1">
      <alignment horizontal="center"/>
    </xf>
    <xf numFmtId="0" fontId="2" fillId="18" borderId="16" xfId="0" applyFont="1" applyFill="1" applyBorder="1" applyAlignment="1">
      <alignment horizontal="center"/>
    </xf>
    <xf numFmtId="0" fontId="2" fillId="18" borderId="17" xfId="0" applyFont="1" applyFill="1" applyBorder="1" applyAlignment="1">
      <alignment horizontal="center"/>
    </xf>
    <xf numFmtId="205" fontId="1" fillId="0" borderId="13" xfId="0" applyNumberFormat="1" applyFont="1" applyFill="1" applyBorder="1" applyAlignment="1" applyProtection="1">
      <alignment/>
      <protection/>
    </xf>
    <xf numFmtId="205" fontId="1" fillId="0" borderId="13" xfId="0" applyNumberFormat="1" applyFont="1" applyFill="1" applyBorder="1" applyAlignment="1">
      <alignment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horizontal="center"/>
      <protection/>
    </xf>
    <xf numFmtId="205" fontId="25" fillId="0" borderId="13" xfId="0" applyNumberFormat="1" applyFont="1" applyFill="1" applyBorder="1" applyAlignment="1" applyProtection="1">
      <alignment horizontal="center" vertical="center" wrapText="1"/>
      <protection/>
    </xf>
    <xf numFmtId="0" fontId="25" fillId="0" borderId="14" xfId="0" applyFont="1" applyFill="1" applyBorder="1" applyAlignment="1" applyProtection="1">
      <alignment horizontal="left" vertical="top" wrapText="1"/>
      <protection/>
    </xf>
    <xf numFmtId="0" fontId="25" fillId="0" borderId="18" xfId="0" applyFont="1" applyFill="1" applyBorder="1" applyAlignment="1" applyProtection="1">
      <alignment horizontal="left" vertical="top" wrapText="1"/>
      <protection/>
    </xf>
    <xf numFmtId="0" fontId="25" fillId="0" borderId="19" xfId="0" applyFont="1" applyFill="1" applyBorder="1" applyAlignment="1" applyProtection="1">
      <alignment horizontal="left"/>
      <protection/>
    </xf>
    <xf numFmtId="0" fontId="25" fillId="0" borderId="20" xfId="0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right" wrapText="1"/>
      <protection/>
    </xf>
    <xf numFmtId="0" fontId="26" fillId="0" borderId="0" xfId="0" applyFont="1" applyFill="1" applyBorder="1" applyAlignment="1" applyProtection="1">
      <alignment horizontal="right" wrapText="1"/>
      <protection/>
    </xf>
    <xf numFmtId="0" fontId="25" fillId="0" borderId="0" xfId="0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 applyProtection="1">
      <alignment horizontal="center" vertical="top"/>
      <protection locked="0"/>
    </xf>
    <xf numFmtId="0" fontId="24" fillId="0" borderId="0" xfId="0" applyFont="1" applyFill="1" applyBorder="1" applyAlignment="1" applyProtection="1">
      <alignment horizontal="center" vertical="top"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H41"/>
  <sheetViews>
    <sheetView showZeros="0" zoomScale="85" zoomScaleNormal="85" zoomScalePageLayoutView="0" workbookViewId="0" topLeftCell="A1">
      <pane xSplit="1" ySplit="22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1" sqref="E11"/>
    </sheetView>
  </sheetViews>
  <sheetFormatPr defaultColWidth="8.875" defaultRowHeight="12.75"/>
  <cols>
    <col min="1" max="1" width="42.00390625" style="2" customWidth="1"/>
    <col min="2" max="2" width="12.875" style="2" customWidth="1"/>
    <col min="3" max="3" width="13.625" style="2" customWidth="1"/>
    <col min="4" max="4" width="17.375" style="2" customWidth="1"/>
    <col min="5" max="5" width="18.00390625" style="2" customWidth="1"/>
    <col min="6" max="6" width="20.25390625" style="2" customWidth="1"/>
    <col min="7" max="7" width="12.125" style="2" customWidth="1"/>
    <col min="8" max="8" width="9.125" style="2" customWidth="1"/>
    <col min="9" max="16384" width="8.875" style="2" customWidth="1"/>
  </cols>
  <sheetData>
    <row r="1" spans="1:8" ht="15.75" hidden="1">
      <c r="A1" s="59"/>
      <c r="B1" s="59"/>
      <c r="C1" s="59"/>
      <c r="D1" s="59"/>
      <c r="E1" s="59"/>
      <c r="F1" s="59"/>
      <c r="G1" s="60"/>
      <c r="H1" s="1"/>
    </row>
    <row r="2" spans="1:8" ht="29.25" customHeight="1" hidden="1">
      <c r="A2" s="57"/>
      <c r="B2" s="57"/>
      <c r="C2" s="57"/>
      <c r="D2" s="57"/>
      <c r="E2" s="57"/>
      <c r="F2" s="57"/>
      <c r="G2" s="58"/>
      <c r="H2" s="1"/>
    </row>
    <row r="3" spans="1:8" ht="12.75" customHeight="1" hidden="1">
      <c r="A3" s="3" t="s">
        <v>7</v>
      </c>
      <c r="B3" s="4"/>
      <c r="C3" s="5"/>
      <c r="D3" s="6">
        <v>1230</v>
      </c>
      <c r="E3" s="7">
        <f>IF(D3&lt;1,"Необходимо ввести объём средств, перечисляемых из ФК (РФФПП) !",IF(D4&lt;1,"Необходимо ввести положительно значение дополнительных средств",""))</f>
      </c>
      <c r="G3" s="8"/>
      <c r="H3" s="1"/>
    </row>
    <row r="4" spans="1:8" ht="15.75" hidden="1">
      <c r="A4" s="3" t="s">
        <v>13</v>
      </c>
      <c r="B4" s="4"/>
      <c r="C4" s="5"/>
      <c r="D4" s="6">
        <v>300</v>
      </c>
      <c r="E4" s="9"/>
      <c r="G4" s="8"/>
      <c r="H4" s="1"/>
    </row>
    <row r="5" spans="1:8" ht="15.75" hidden="1">
      <c r="A5" s="3" t="s">
        <v>5</v>
      </c>
      <c r="B5" s="4"/>
      <c r="C5" s="5"/>
      <c r="D5" s="10">
        <v>0.9</v>
      </c>
      <c r="E5" s="7">
        <f>IF(OR(D5&lt;0.6,D5&gt;0.9),"Значение коэффициента должно быть в пределах от 0,6 до 0,9","")</f>
      </c>
      <c r="G5" s="8"/>
      <c r="H5" s="1"/>
    </row>
    <row r="6" spans="1:8" ht="15.75" hidden="1">
      <c r="A6" s="7"/>
      <c r="H6" s="1"/>
    </row>
    <row r="7" spans="1:8" ht="15.75">
      <c r="A7" s="7"/>
      <c r="E7" s="55" t="s">
        <v>38</v>
      </c>
      <c r="F7" s="55"/>
      <c r="G7" s="55"/>
      <c r="H7" s="1"/>
    </row>
    <row r="8" spans="1:8" ht="15.75">
      <c r="A8" s="7"/>
      <c r="E8" s="55" t="s">
        <v>39</v>
      </c>
      <c r="F8" s="55"/>
      <c r="G8" s="55"/>
      <c r="H8" s="1"/>
    </row>
    <row r="9" spans="1:8" ht="15.75">
      <c r="A9" s="7"/>
      <c r="E9" s="55" t="s">
        <v>65</v>
      </c>
      <c r="F9" s="55"/>
      <c r="G9" s="55"/>
      <c r="H9" s="1"/>
    </row>
    <row r="10" spans="1:8" ht="15.75">
      <c r="A10" s="7"/>
      <c r="E10" s="55" t="s">
        <v>66</v>
      </c>
      <c r="F10" s="55"/>
      <c r="G10" s="55"/>
      <c r="H10" s="1"/>
    </row>
    <row r="11" spans="1:8" ht="15.75">
      <c r="A11" s="7"/>
      <c r="B11" s="1"/>
      <c r="C11" s="1"/>
      <c r="D11" s="1"/>
      <c r="E11" s="1"/>
      <c r="F11" s="1"/>
      <c r="G11" s="1"/>
      <c r="H11" s="1"/>
    </row>
    <row r="12" spans="1:8" ht="18.75">
      <c r="A12" s="66" t="s">
        <v>34</v>
      </c>
      <c r="B12" s="66"/>
      <c r="C12" s="66"/>
      <c r="D12" s="66"/>
      <c r="E12" s="66"/>
      <c r="F12" s="66"/>
      <c r="G12" s="66"/>
      <c r="H12" s="1"/>
    </row>
    <row r="13" spans="1:8" ht="18" customHeight="1">
      <c r="A13" s="65" t="s">
        <v>35</v>
      </c>
      <c r="B13" s="65"/>
      <c r="C13" s="65"/>
      <c r="D13" s="65"/>
      <c r="E13" s="65"/>
      <c r="F13" s="65"/>
      <c r="G13" s="65"/>
      <c r="H13" s="1"/>
    </row>
    <row r="14" spans="1:8" ht="12.75" customHeight="1" hidden="1">
      <c r="A14" s="1"/>
      <c r="B14" s="1"/>
      <c r="C14" s="7"/>
      <c r="D14" s="7"/>
      <c r="E14" s="7"/>
      <c r="F14" s="11"/>
      <c r="G14" s="1">
        <v>0</v>
      </c>
      <c r="H14" s="1"/>
    </row>
    <row r="15" spans="1:8" ht="15.75" customHeight="1">
      <c r="A15" s="62" t="s">
        <v>40</v>
      </c>
      <c r="B15" s="62"/>
      <c r="C15" s="62"/>
      <c r="D15" s="62"/>
      <c r="E15" s="23">
        <f>D3</f>
        <v>1230</v>
      </c>
      <c r="F15" s="61">
        <f>IF(E16=F41,"","Необходим пересчёт дотаций!
Нажмите на кнопку 'Расчёт'!")</f>
      </c>
      <c r="G15" s="61"/>
      <c r="H15" s="1"/>
    </row>
    <row r="16" spans="1:8" ht="15" customHeight="1">
      <c r="A16" s="62" t="s">
        <v>41</v>
      </c>
      <c r="B16" s="62"/>
      <c r="C16" s="62"/>
      <c r="D16" s="62"/>
      <c r="E16" s="23">
        <f>D4</f>
        <v>300</v>
      </c>
      <c r="F16" s="61"/>
      <c r="G16" s="61"/>
      <c r="H16" s="1"/>
    </row>
    <row r="17" spans="1:8" ht="17.25" customHeight="1">
      <c r="A17" s="63" t="s">
        <v>42</v>
      </c>
      <c r="B17" s="63"/>
      <c r="C17" s="63"/>
      <c r="D17" s="63">
        <v>-37778706683311340</v>
      </c>
      <c r="E17" s="23">
        <f>SUM(E15:E16)</f>
        <v>1530</v>
      </c>
      <c r="F17" s="61"/>
      <c r="G17" s="61"/>
      <c r="H17" s="1"/>
    </row>
    <row r="18" spans="1:8" ht="12.75" customHeight="1" hidden="1">
      <c r="A18" s="21"/>
      <c r="B18" s="1"/>
      <c r="C18" s="1"/>
      <c r="D18" s="1"/>
      <c r="E18" s="12"/>
      <c r="F18" s="61"/>
      <c r="G18" s="61"/>
      <c r="H18" s="1"/>
    </row>
    <row r="19" spans="1:8" ht="18" customHeight="1">
      <c r="A19" s="64" t="s">
        <v>12</v>
      </c>
      <c r="B19" s="64"/>
      <c r="C19" s="64"/>
      <c r="D19" s="22">
        <v>269.76085747509984</v>
      </c>
      <c r="E19" s="13">
        <f>IF(F41&gt;E16,"меньше",IF(F41&lt;E16,"больше",""))</f>
      </c>
      <c r="F19" s="61"/>
      <c r="G19" s="61"/>
      <c r="H19" s="1"/>
    </row>
    <row r="20" spans="1:8" ht="12.75" customHeight="1">
      <c r="A20" s="1"/>
      <c r="B20" s="1"/>
      <c r="C20" s="1"/>
      <c r="D20" s="1"/>
      <c r="E20" s="1"/>
      <c r="F20" s="11"/>
      <c r="G20" s="28"/>
      <c r="H20" s="1"/>
    </row>
    <row r="21" spans="1:8" ht="12.75" customHeight="1">
      <c r="A21" s="54" t="s">
        <v>6</v>
      </c>
      <c r="B21" s="54" t="s">
        <v>15</v>
      </c>
      <c r="C21" s="54" t="s">
        <v>36</v>
      </c>
      <c r="D21" s="54" t="s">
        <v>37</v>
      </c>
      <c r="E21" s="56" t="s">
        <v>11</v>
      </c>
      <c r="F21" s="56"/>
      <c r="G21" s="56"/>
      <c r="H21" s="1"/>
    </row>
    <row r="22" spans="1:7" ht="94.5">
      <c r="A22" s="54"/>
      <c r="B22" s="54"/>
      <c r="C22" s="54"/>
      <c r="D22" s="54"/>
      <c r="E22" s="15" t="s">
        <v>14</v>
      </c>
      <c r="F22" s="15" t="str">
        <f>"2-я часть (исходя расчётной бюджетной обеспеченности)
["&amp;ROUND(D19,1)&amp;"-(4)]х
(3)/1000х"&amp;D5</f>
        <v>2-я часть (исходя расчётной бюджетной обеспеченности)
[269,8-(4)]х
(3)/1000х0,9</v>
      </c>
      <c r="G22" s="14" t="s">
        <v>16</v>
      </c>
    </row>
    <row r="23" spans="1:7" ht="15.75">
      <c r="A23" s="16" t="s">
        <v>1</v>
      </c>
      <c r="B23" s="16" t="s">
        <v>2</v>
      </c>
      <c r="C23" s="16" t="s">
        <v>3</v>
      </c>
      <c r="D23" s="16" t="s">
        <v>4</v>
      </c>
      <c r="E23" s="16" t="s">
        <v>8</v>
      </c>
      <c r="F23" s="16" t="s">
        <v>9</v>
      </c>
      <c r="G23" s="16" t="s">
        <v>10</v>
      </c>
    </row>
    <row r="24" spans="1:7" ht="15.75">
      <c r="A24" s="24" t="s">
        <v>17</v>
      </c>
      <c r="B24" s="25">
        <v>19415.1</v>
      </c>
      <c r="C24" s="26">
        <v>14283</v>
      </c>
      <c r="D24" s="27">
        <f>IF(C24&gt;0,B24/C24*1000,"")</f>
        <v>1359.3152699012812</v>
      </c>
      <c r="E24" s="27">
        <f aca="true" t="shared" si="0" ref="E24:E40">C24/C$41*E$15</f>
        <v>367.18758490960397</v>
      </c>
      <c r="F24" s="27">
        <f aca="true" t="shared" si="1" ref="F24:F40">IF($D$19&gt;D24,($D$19-D24)*C24/1000*$D$5,0)</f>
        <v>0</v>
      </c>
      <c r="G24" s="27">
        <f>F24+E24</f>
        <v>367.18758490960397</v>
      </c>
    </row>
    <row r="25" spans="1:7" ht="15.75">
      <c r="A25" s="24" t="s">
        <v>18</v>
      </c>
      <c r="B25" s="25">
        <v>418.3</v>
      </c>
      <c r="C25" s="26">
        <v>748</v>
      </c>
      <c r="D25" s="27">
        <f aca="true" t="shared" si="2" ref="D25:D40">IF(C25&gt;0,B25/C25*1000,"")</f>
        <v>559.2245989304813</v>
      </c>
      <c r="E25" s="27">
        <f t="shared" si="0"/>
        <v>19.229595569024976</v>
      </c>
      <c r="F25" s="27">
        <f t="shared" si="1"/>
        <v>0</v>
      </c>
      <c r="G25" s="27">
        <f aca="true" t="shared" si="3" ref="G25:G40">F25+E25</f>
        <v>19.229595569024976</v>
      </c>
    </row>
    <row r="26" spans="1:7" ht="15.75">
      <c r="A26" s="24" t="s">
        <v>19</v>
      </c>
      <c r="B26" s="25">
        <v>1147</v>
      </c>
      <c r="C26" s="26">
        <v>817</v>
      </c>
      <c r="D26" s="27">
        <f t="shared" si="2"/>
        <v>1403.9167686658507</v>
      </c>
      <c r="E26" s="27">
        <f t="shared" si="0"/>
        <v>21.00344863622113</v>
      </c>
      <c r="F26" s="27">
        <f t="shared" si="1"/>
        <v>0</v>
      </c>
      <c r="G26" s="27">
        <f t="shared" si="3"/>
        <v>21.00344863622113</v>
      </c>
    </row>
    <row r="27" spans="1:7" ht="15.75">
      <c r="A27" s="24" t="s">
        <v>20</v>
      </c>
      <c r="B27" s="25">
        <v>735.9</v>
      </c>
      <c r="C27" s="26">
        <v>1420</v>
      </c>
      <c r="D27" s="27">
        <f t="shared" si="2"/>
        <v>518.2394366197183</v>
      </c>
      <c r="E27" s="27">
        <f t="shared" si="0"/>
        <v>36.50538196258752</v>
      </c>
      <c r="F27" s="27">
        <f t="shared" si="1"/>
        <v>0</v>
      </c>
      <c r="G27" s="27">
        <f t="shared" si="3"/>
        <v>36.50538196258752</v>
      </c>
    </row>
    <row r="28" spans="1:7" ht="15.75">
      <c r="A28" s="24" t="s">
        <v>21</v>
      </c>
      <c r="B28" s="25">
        <v>327.3</v>
      </c>
      <c r="C28" s="26">
        <v>1679</v>
      </c>
      <c r="D28" s="27">
        <f t="shared" si="2"/>
        <v>194.9374627754616</v>
      </c>
      <c r="E28" s="27">
        <f t="shared" si="0"/>
        <v>43.163757968439754</v>
      </c>
      <c r="F28" s="27">
        <f t="shared" si="1"/>
        <v>113.06563173062335</v>
      </c>
      <c r="G28" s="27">
        <f t="shared" si="3"/>
        <v>156.22938969906312</v>
      </c>
    </row>
    <row r="29" spans="1:7" ht="15.75">
      <c r="A29" s="24" t="s">
        <v>22</v>
      </c>
      <c r="B29" s="25">
        <v>539.2</v>
      </c>
      <c r="C29" s="26">
        <v>1241</v>
      </c>
      <c r="D29" s="27">
        <f t="shared" si="2"/>
        <v>434.488315874295</v>
      </c>
      <c r="E29" s="27">
        <f t="shared" si="0"/>
        <v>31.903647194064167</v>
      </c>
      <c r="F29" s="27">
        <f t="shared" si="1"/>
        <v>0</v>
      </c>
      <c r="G29" s="27">
        <f t="shared" si="3"/>
        <v>31.903647194064167</v>
      </c>
    </row>
    <row r="30" spans="1:7" ht="15.75">
      <c r="A30" s="24" t="s">
        <v>23</v>
      </c>
      <c r="B30" s="25">
        <v>411.6</v>
      </c>
      <c r="C30" s="26">
        <v>1520</v>
      </c>
      <c r="D30" s="27">
        <f t="shared" si="2"/>
        <v>270.7894736842105</v>
      </c>
      <c r="E30" s="27">
        <f t="shared" si="0"/>
        <v>39.07618350924861</v>
      </c>
      <c r="F30" s="27">
        <f t="shared" si="1"/>
        <v>0</v>
      </c>
      <c r="G30" s="27">
        <f t="shared" si="3"/>
        <v>39.07618350924861</v>
      </c>
    </row>
    <row r="31" spans="1:7" ht="15.75">
      <c r="A31" s="24" t="s">
        <v>24</v>
      </c>
      <c r="B31" s="25">
        <v>434.9</v>
      </c>
      <c r="C31" s="26">
        <v>1144</v>
      </c>
      <c r="D31" s="27">
        <f t="shared" si="2"/>
        <v>380.1573426573426</v>
      </c>
      <c r="E31" s="27">
        <f t="shared" si="0"/>
        <v>29.409969693802903</v>
      </c>
      <c r="F31" s="27">
        <f t="shared" si="1"/>
        <v>0</v>
      </c>
      <c r="G31" s="27">
        <f t="shared" si="3"/>
        <v>29.409969693802903</v>
      </c>
    </row>
    <row r="32" spans="1:7" ht="15.75">
      <c r="A32" s="24" t="s">
        <v>25</v>
      </c>
      <c r="B32" s="25">
        <v>332.9</v>
      </c>
      <c r="C32" s="26">
        <v>1281</v>
      </c>
      <c r="D32" s="27">
        <f t="shared" si="2"/>
        <v>259.87509758001556</v>
      </c>
      <c r="E32" s="27">
        <f t="shared" si="0"/>
        <v>32.93196781272861</v>
      </c>
      <c r="F32" s="27">
        <f t="shared" si="1"/>
        <v>11.397292583042663</v>
      </c>
      <c r="G32" s="27">
        <f t="shared" si="3"/>
        <v>44.32926039577127</v>
      </c>
    </row>
    <row r="33" spans="1:7" ht="15.75">
      <c r="A33" s="24" t="s">
        <v>26</v>
      </c>
      <c r="B33" s="25">
        <v>235.9</v>
      </c>
      <c r="C33" s="26">
        <v>979</v>
      </c>
      <c r="D33" s="27">
        <f t="shared" si="2"/>
        <v>240.96016343207356</v>
      </c>
      <c r="E33" s="27">
        <f t="shared" si="0"/>
        <v>25.168147141812103</v>
      </c>
      <c r="F33" s="27">
        <f t="shared" si="1"/>
        <v>25.376291521310456</v>
      </c>
      <c r="G33" s="27">
        <f t="shared" si="3"/>
        <v>50.54443866312256</v>
      </c>
    </row>
    <row r="34" spans="1:7" ht="15.75">
      <c r="A34" s="24" t="s">
        <v>27</v>
      </c>
      <c r="B34" s="25">
        <v>423.3</v>
      </c>
      <c r="C34" s="26">
        <v>1281</v>
      </c>
      <c r="D34" s="27">
        <f t="shared" si="2"/>
        <v>330.44496487119443</v>
      </c>
      <c r="E34" s="27">
        <f t="shared" si="0"/>
        <v>32.93196781272861</v>
      </c>
      <c r="F34" s="27">
        <f t="shared" si="1"/>
        <v>0</v>
      </c>
      <c r="G34" s="27">
        <f t="shared" si="3"/>
        <v>32.93196781272861</v>
      </c>
    </row>
    <row r="35" spans="1:7" ht="15.75">
      <c r="A35" s="24" t="s">
        <v>28</v>
      </c>
      <c r="B35" s="25">
        <v>153.9</v>
      </c>
      <c r="C35" s="26">
        <v>744</v>
      </c>
      <c r="D35" s="27">
        <f t="shared" si="2"/>
        <v>206.8548387096774</v>
      </c>
      <c r="E35" s="27">
        <f t="shared" si="0"/>
        <v>19.126763507158532</v>
      </c>
      <c r="F35" s="27">
        <f t="shared" si="1"/>
        <v>42.12187016532686</v>
      </c>
      <c r="G35" s="27">
        <f t="shared" si="3"/>
        <v>61.2486336724854</v>
      </c>
    </row>
    <row r="36" spans="1:7" ht="15.75">
      <c r="A36" s="24" t="s">
        <v>29</v>
      </c>
      <c r="B36" s="25">
        <v>395.2</v>
      </c>
      <c r="C36" s="26">
        <v>1910</v>
      </c>
      <c r="D36" s="27">
        <f t="shared" si="2"/>
        <v>206.91099476439788</v>
      </c>
      <c r="E36" s="27">
        <f t="shared" si="0"/>
        <v>49.10230954122687</v>
      </c>
      <c r="F36" s="27">
        <f t="shared" si="1"/>
        <v>108.03891399969666</v>
      </c>
      <c r="G36" s="27">
        <f t="shared" si="3"/>
        <v>157.14122354092353</v>
      </c>
    </row>
    <row r="37" spans="1:7" ht="15.75">
      <c r="A37" s="24" t="s">
        <v>30</v>
      </c>
      <c r="B37" s="25">
        <v>11004</v>
      </c>
      <c r="C37" s="26">
        <v>8943</v>
      </c>
      <c r="D37" s="27">
        <f t="shared" si="2"/>
        <v>1230.459577323046</v>
      </c>
      <c r="E37" s="27">
        <f t="shared" si="0"/>
        <v>229.90678231790156</v>
      </c>
      <c r="F37" s="27">
        <f t="shared" si="1"/>
        <v>0</v>
      </c>
      <c r="G37" s="27">
        <f t="shared" si="3"/>
        <v>229.90678231790156</v>
      </c>
    </row>
    <row r="38" spans="1:7" ht="15.75">
      <c r="A38" s="24" t="s">
        <v>31</v>
      </c>
      <c r="B38" s="25">
        <v>2728.3</v>
      </c>
      <c r="C38" s="26">
        <v>3660</v>
      </c>
      <c r="D38" s="27">
        <f t="shared" si="2"/>
        <v>745.4371584699454</v>
      </c>
      <c r="E38" s="27">
        <f t="shared" si="0"/>
        <v>94.091336607796</v>
      </c>
      <c r="F38" s="27">
        <f t="shared" si="1"/>
        <v>0</v>
      </c>
      <c r="G38" s="27">
        <f t="shared" si="3"/>
        <v>94.091336607796</v>
      </c>
    </row>
    <row r="39" spans="1:7" ht="15.75">
      <c r="A39" s="24" t="s">
        <v>32</v>
      </c>
      <c r="B39" s="25">
        <v>3553.7</v>
      </c>
      <c r="C39" s="26">
        <v>4710</v>
      </c>
      <c r="D39" s="27">
        <f t="shared" si="2"/>
        <v>754.5010615711252</v>
      </c>
      <c r="E39" s="27">
        <f t="shared" si="0"/>
        <v>121.08475284773749</v>
      </c>
      <c r="F39" s="27">
        <f t="shared" si="1"/>
        <v>0</v>
      </c>
      <c r="G39" s="27">
        <f t="shared" si="3"/>
        <v>121.08475284773749</v>
      </c>
    </row>
    <row r="40" spans="1:7" ht="15.75">
      <c r="A40" s="24" t="s">
        <v>33</v>
      </c>
      <c r="B40" s="25">
        <v>424.4</v>
      </c>
      <c r="C40" s="26">
        <v>1485</v>
      </c>
      <c r="D40" s="27">
        <f t="shared" si="2"/>
        <v>285.7912457912458</v>
      </c>
      <c r="E40" s="27">
        <f t="shared" si="0"/>
        <v>38.176402967917234</v>
      </c>
      <c r="F40" s="27">
        <f t="shared" si="1"/>
        <v>0</v>
      </c>
      <c r="G40" s="27">
        <f t="shared" si="3"/>
        <v>38.176402967917234</v>
      </c>
    </row>
    <row r="41" spans="1:7" s="18" customFormat="1" ht="18" customHeight="1">
      <c r="A41" s="17" t="s">
        <v>0</v>
      </c>
      <c r="B41" s="19">
        <f>SUM(B24:B40)</f>
        <v>42680.9</v>
      </c>
      <c r="C41" s="20">
        <f>SUM(C24:C40)</f>
        <v>47845</v>
      </c>
      <c r="D41" s="19">
        <f>B41/C41*1000</f>
        <v>892.066046608841</v>
      </c>
      <c r="E41" s="19">
        <f>ROUND(SUM(E24:E40),1)</f>
        <v>1230</v>
      </c>
      <c r="F41" s="19">
        <f>SUM(F24:F40)</f>
        <v>300</v>
      </c>
      <c r="G41" s="19">
        <f>SUM(G24:G40)</f>
        <v>1530.0000000000002</v>
      </c>
    </row>
  </sheetData>
  <sheetProtection deleteRows="0"/>
  <mergeCells count="18">
    <mergeCell ref="A2:G2"/>
    <mergeCell ref="A1:G1"/>
    <mergeCell ref="F15:G19"/>
    <mergeCell ref="A15:D15"/>
    <mergeCell ref="A17:D17"/>
    <mergeCell ref="A19:C19"/>
    <mergeCell ref="A16:D16"/>
    <mergeCell ref="A13:G13"/>
    <mergeCell ref="A12:G12"/>
    <mergeCell ref="E7:G7"/>
    <mergeCell ref="E8:G8"/>
    <mergeCell ref="E9:G9"/>
    <mergeCell ref="E10:G10"/>
    <mergeCell ref="E21:G21"/>
    <mergeCell ref="A21:A22"/>
    <mergeCell ref="B21:B22"/>
    <mergeCell ref="C21:C22"/>
    <mergeCell ref="D21:D22"/>
  </mergeCells>
  <printOptions horizontalCentered="1"/>
  <pageMargins left="0.1968503937007874" right="0.31" top="0.35" bottom="0.31" header="0.18" footer="0.25"/>
  <pageSetup fitToHeight="1" fitToWidth="1" horizontalDpi="300" verticalDpi="300" orientation="landscape" paperSize="9" scale="9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B1">
      <pane xSplit="1" ySplit="9" topLeftCell="D16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G5" sqref="G5"/>
    </sheetView>
  </sheetViews>
  <sheetFormatPr defaultColWidth="9.00390625" defaultRowHeight="12.75"/>
  <cols>
    <col min="1" max="1" width="4.375" style="29" customWidth="1"/>
    <col min="2" max="2" width="37.00390625" style="29" customWidth="1"/>
    <col min="3" max="3" width="11.375" style="29" customWidth="1"/>
    <col min="4" max="4" width="11.75390625" style="29" customWidth="1"/>
    <col min="5" max="5" width="12.75390625" style="29" customWidth="1"/>
    <col min="6" max="6" width="12.375" style="29" customWidth="1"/>
    <col min="7" max="7" width="13.00390625" style="29" customWidth="1"/>
    <col min="8" max="8" width="13.125" style="29" customWidth="1"/>
    <col min="9" max="9" width="11.375" style="29" hidden="1" customWidth="1"/>
    <col min="10" max="10" width="12.75390625" style="29" customWidth="1"/>
    <col min="11" max="11" width="15.125" style="29" customWidth="1"/>
    <col min="12" max="16384" width="9.125" style="29" customWidth="1"/>
  </cols>
  <sheetData>
    <row r="1" spans="6:11" ht="12.75">
      <c r="F1" s="30"/>
      <c r="G1" s="81" t="s">
        <v>43</v>
      </c>
      <c r="H1" s="81"/>
      <c r="I1" s="81"/>
      <c r="J1" s="81"/>
      <c r="K1" s="81"/>
    </row>
    <row r="2" spans="6:11" ht="12.75">
      <c r="F2" s="30"/>
      <c r="G2" s="81" t="s">
        <v>44</v>
      </c>
      <c r="H2" s="81"/>
      <c r="I2" s="81"/>
      <c r="J2" s="81"/>
      <c r="K2" s="81"/>
    </row>
    <row r="3" spans="6:11" ht="12.75">
      <c r="F3" s="31"/>
      <c r="G3" s="82" t="s">
        <v>67</v>
      </c>
      <c r="H3" s="82"/>
      <c r="I3" s="82"/>
      <c r="J3" s="82"/>
      <c r="K3" s="82"/>
    </row>
    <row r="4" spans="6:11" ht="12.75">
      <c r="F4" s="30"/>
      <c r="G4" s="81" t="s">
        <v>68</v>
      </c>
      <c r="H4" s="81"/>
      <c r="I4" s="81"/>
      <c r="J4" s="81"/>
      <c r="K4" s="81"/>
    </row>
    <row r="6" spans="2:10" ht="15">
      <c r="B6" s="74" t="s">
        <v>64</v>
      </c>
      <c r="C6" s="74"/>
      <c r="D6" s="74"/>
      <c r="E6" s="74"/>
      <c r="F6" s="74"/>
      <c r="G6" s="74"/>
      <c r="H6" s="74"/>
      <c r="I6" s="74"/>
      <c r="J6" s="32"/>
    </row>
    <row r="7" spans="2:10" ht="15">
      <c r="B7" s="74" t="s">
        <v>35</v>
      </c>
      <c r="C7" s="74"/>
      <c r="D7" s="74"/>
      <c r="E7" s="74"/>
      <c r="F7" s="74"/>
      <c r="G7" s="74"/>
      <c r="H7" s="74"/>
      <c r="I7" s="74"/>
      <c r="J7" s="32"/>
    </row>
    <row r="9" ht="12.75">
      <c r="K9" s="33" t="s">
        <v>45</v>
      </c>
    </row>
    <row r="10" spans="1:11" s="36" customFormat="1" ht="27" customHeight="1">
      <c r="A10" s="34" t="s">
        <v>46</v>
      </c>
      <c r="B10" s="35"/>
      <c r="C10" s="75" t="s">
        <v>47</v>
      </c>
      <c r="D10" s="76"/>
      <c r="E10" s="76"/>
      <c r="F10" s="77"/>
      <c r="G10" s="78" t="s">
        <v>48</v>
      </c>
      <c r="H10" s="67" t="s">
        <v>49</v>
      </c>
      <c r="I10" s="49" t="s">
        <v>50</v>
      </c>
      <c r="J10" s="67" t="s">
        <v>51</v>
      </c>
      <c r="K10" s="67" t="s">
        <v>52</v>
      </c>
    </row>
    <row r="11" spans="1:11" s="36" customFormat="1" ht="38.25" customHeight="1">
      <c r="A11" s="37" t="s">
        <v>53</v>
      </c>
      <c r="B11" s="37" t="s">
        <v>54</v>
      </c>
      <c r="C11" s="70" t="s">
        <v>55</v>
      </c>
      <c r="D11" s="72" t="s">
        <v>56</v>
      </c>
      <c r="E11" s="72" t="s">
        <v>57</v>
      </c>
      <c r="F11" s="70" t="s">
        <v>58</v>
      </c>
      <c r="G11" s="79"/>
      <c r="H11" s="68"/>
      <c r="I11" s="50" t="s">
        <v>59</v>
      </c>
      <c r="J11" s="68"/>
      <c r="K11" s="68"/>
    </row>
    <row r="12" spans="1:11" s="36" customFormat="1" ht="24" customHeight="1">
      <c r="A12" s="38"/>
      <c r="B12" s="39"/>
      <c r="C12" s="71"/>
      <c r="D12" s="73"/>
      <c r="E12" s="73"/>
      <c r="F12" s="71"/>
      <c r="G12" s="80"/>
      <c r="H12" s="69"/>
      <c r="I12" s="51" t="s">
        <v>60</v>
      </c>
      <c r="J12" s="69"/>
      <c r="K12" s="69"/>
    </row>
    <row r="13" spans="1:11" s="30" customFormat="1" ht="12.75">
      <c r="A13" s="40">
        <v>1</v>
      </c>
      <c r="B13" s="40">
        <v>2</v>
      </c>
      <c r="C13" s="40">
        <v>3</v>
      </c>
      <c r="D13" s="40">
        <v>4</v>
      </c>
      <c r="E13" s="40">
        <v>5</v>
      </c>
      <c r="F13" s="40" t="s">
        <v>61</v>
      </c>
      <c r="G13" s="40">
        <v>7</v>
      </c>
      <c r="H13" s="40" t="s">
        <v>62</v>
      </c>
      <c r="I13" s="40"/>
      <c r="J13" s="40">
        <v>9</v>
      </c>
      <c r="K13" s="40">
        <v>10</v>
      </c>
    </row>
    <row r="14" spans="1:11" s="46" customFormat="1" ht="14.25" customHeight="1">
      <c r="A14" s="41">
        <v>1</v>
      </c>
      <c r="B14" s="42" t="s">
        <v>17</v>
      </c>
      <c r="C14" s="43">
        <f>'№6'!G24</f>
        <v>367.18758490960397</v>
      </c>
      <c r="D14" s="44">
        <v>20854.566</v>
      </c>
      <c r="E14" s="44">
        <v>13239.28</v>
      </c>
      <c r="F14" s="45">
        <f>SUM(C14:E14)</f>
        <v>34461.0335849096</v>
      </c>
      <c r="G14" s="45">
        <f>36410.22857+7.30961+1452.88</f>
        <v>37870.41817999999</v>
      </c>
      <c r="H14" s="45">
        <f>F14-G14</f>
        <v>-3409.3845950903924</v>
      </c>
      <c r="I14" s="43">
        <f>J14+H14</f>
        <v>4.909607469016919E-06</v>
      </c>
      <c r="J14" s="43">
        <f>(D14+E14)*0.1</f>
        <v>3409.3846</v>
      </c>
      <c r="K14" s="52">
        <f aca="true" t="shared" si="0" ref="K14:K30">-I14</f>
        <v>-4.909607469016919E-06</v>
      </c>
    </row>
    <row r="15" spans="1:11" s="46" customFormat="1" ht="14.25" customHeight="1">
      <c r="A15" s="41">
        <v>2</v>
      </c>
      <c r="B15" s="42" t="s">
        <v>18</v>
      </c>
      <c r="C15" s="43">
        <f>'№6'!G25</f>
        <v>19.229595569024976</v>
      </c>
      <c r="D15" s="44">
        <v>427.318</v>
      </c>
      <c r="E15" s="44">
        <v>137.24</v>
      </c>
      <c r="F15" s="45">
        <f aca="true" t="shared" si="1" ref="F15:F30">SUM(C15:E15)</f>
        <v>583.7875955690249</v>
      </c>
      <c r="G15" s="45">
        <f>1323.07697+12.52163+159.6448</f>
        <v>1495.2434</v>
      </c>
      <c r="H15" s="45">
        <f aca="true" t="shared" si="2" ref="H15:H30">F15-G15</f>
        <v>-911.4558044309751</v>
      </c>
      <c r="I15" s="43">
        <f>J15+H15</f>
        <v>-855.0000044309752</v>
      </c>
      <c r="J15" s="43">
        <f>(D15+E15)*0.1</f>
        <v>56.4558</v>
      </c>
      <c r="K15" s="52">
        <f t="shared" si="0"/>
        <v>855.0000044309752</v>
      </c>
    </row>
    <row r="16" spans="1:11" s="46" customFormat="1" ht="14.25" customHeight="1">
      <c r="A16" s="41">
        <v>3</v>
      </c>
      <c r="B16" s="42" t="s">
        <v>19</v>
      </c>
      <c r="C16" s="43">
        <f>'№6'!G26</f>
        <v>21.00344863622113</v>
      </c>
      <c r="D16" s="44">
        <v>1147.049</v>
      </c>
      <c r="E16" s="44">
        <v>1813.35</v>
      </c>
      <c r="F16" s="45">
        <f t="shared" si="1"/>
        <v>2981.402448636221</v>
      </c>
      <c r="G16" s="45">
        <f>3861.42002+8.10843-0.10605</f>
        <v>3869.4224000000004</v>
      </c>
      <c r="H16" s="45">
        <f t="shared" si="2"/>
        <v>-888.0199513637795</v>
      </c>
      <c r="I16" s="43">
        <f aca="true" t="shared" si="3" ref="I16:I30">J16+H16</f>
        <v>-740.0000013637795</v>
      </c>
      <c r="J16" s="43">
        <f>(D16+E16)*0.05</f>
        <v>148.01995</v>
      </c>
      <c r="K16" s="52">
        <f t="shared" si="0"/>
        <v>740.0000013637795</v>
      </c>
    </row>
    <row r="17" spans="1:11" s="46" customFormat="1" ht="14.25" customHeight="1">
      <c r="A17" s="41">
        <v>4</v>
      </c>
      <c r="B17" s="42" t="s">
        <v>20</v>
      </c>
      <c r="C17" s="43">
        <f>'№6'!G27</f>
        <v>36.50538196258752</v>
      </c>
      <c r="D17" s="44">
        <v>741.105</v>
      </c>
      <c r="E17" s="44">
        <v>1654.14</v>
      </c>
      <c r="F17" s="45">
        <f t="shared" si="1"/>
        <v>2431.7503819625877</v>
      </c>
      <c r="G17" s="45">
        <f>2812.74206+101.57532+6.9575</f>
        <v>2921.27488</v>
      </c>
      <c r="H17" s="45">
        <f t="shared" si="2"/>
        <v>-489.5244980374123</v>
      </c>
      <c r="I17" s="43">
        <f t="shared" si="3"/>
        <v>-249.9999980374123</v>
      </c>
      <c r="J17" s="43">
        <f>(D17+E17)*0.1</f>
        <v>239.5245</v>
      </c>
      <c r="K17" s="52">
        <f t="shared" si="0"/>
        <v>249.9999980374123</v>
      </c>
    </row>
    <row r="18" spans="1:11" s="46" customFormat="1" ht="14.25" customHeight="1">
      <c r="A18" s="41">
        <v>5</v>
      </c>
      <c r="B18" s="42" t="s">
        <v>21</v>
      </c>
      <c r="C18" s="43">
        <f>'№6'!G28</f>
        <v>156.22938969906312</v>
      </c>
      <c r="D18" s="44">
        <v>332.34</v>
      </c>
      <c r="E18" s="44">
        <v>561.52</v>
      </c>
      <c r="F18" s="45">
        <f t="shared" si="1"/>
        <v>1050.089389699063</v>
      </c>
      <c r="G18" s="45">
        <f>4477.06997+4.56242+707.15</f>
        <v>5188.782389999999</v>
      </c>
      <c r="H18" s="45">
        <f t="shared" si="2"/>
        <v>-4138.693000300937</v>
      </c>
      <c r="I18" s="43">
        <f t="shared" si="3"/>
        <v>-4094.0000003009363</v>
      </c>
      <c r="J18" s="43">
        <f>(D18+E18)*0.05</f>
        <v>44.693</v>
      </c>
      <c r="K18" s="52">
        <f t="shared" si="0"/>
        <v>4094.0000003009363</v>
      </c>
    </row>
    <row r="19" spans="1:11" s="46" customFormat="1" ht="14.25" customHeight="1">
      <c r="A19" s="41">
        <v>6</v>
      </c>
      <c r="B19" s="42" t="s">
        <v>22</v>
      </c>
      <c r="C19" s="43">
        <f>'№6'!G29</f>
        <v>31.903647194064167</v>
      </c>
      <c r="D19" s="44">
        <v>539.226</v>
      </c>
      <c r="E19" s="44">
        <v>2089.32</v>
      </c>
      <c r="F19" s="45">
        <f t="shared" si="1"/>
        <v>2660.4496471940643</v>
      </c>
      <c r="G19" s="45">
        <f>4210.51721+7.89704-0.11</f>
        <v>4218.30425</v>
      </c>
      <c r="H19" s="45">
        <f t="shared" si="2"/>
        <v>-1557.8546028059359</v>
      </c>
      <c r="I19" s="43">
        <f t="shared" si="3"/>
        <v>-1295.0000028059358</v>
      </c>
      <c r="J19" s="43">
        <f>(D19+E19)*0.1</f>
        <v>262.85460000000006</v>
      </c>
      <c r="K19" s="52">
        <f t="shared" si="0"/>
        <v>1295.0000028059358</v>
      </c>
    </row>
    <row r="20" spans="1:11" s="46" customFormat="1" ht="14.25" customHeight="1">
      <c r="A20" s="41">
        <v>7</v>
      </c>
      <c r="B20" s="42" t="s">
        <v>23</v>
      </c>
      <c r="C20" s="43">
        <f>'№6'!G30</f>
        <v>39.07618350924861</v>
      </c>
      <c r="D20" s="44">
        <v>413.062</v>
      </c>
      <c r="E20" s="44">
        <v>658.83</v>
      </c>
      <c r="F20" s="45">
        <f t="shared" si="1"/>
        <v>1110.9681835092488</v>
      </c>
      <c r="G20" s="45">
        <f>2439.30578-5.0634+2.915</f>
        <v>2437.15738</v>
      </c>
      <c r="H20" s="45">
        <f t="shared" si="2"/>
        <v>-1326.1891964907513</v>
      </c>
      <c r="I20" s="43">
        <f t="shared" si="3"/>
        <v>-1218.9999964907513</v>
      </c>
      <c r="J20" s="43">
        <f>(D20+E20)*0.1</f>
        <v>107.18920000000001</v>
      </c>
      <c r="K20" s="52">
        <f t="shared" si="0"/>
        <v>1218.9999964907513</v>
      </c>
    </row>
    <row r="21" spans="1:11" s="46" customFormat="1" ht="14.25" customHeight="1">
      <c r="A21" s="41">
        <v>8</v>
      </c>
      <c r="B21" s="42" t="s">
        <v>24</v>
      </c>
      <c r="C21" s="43">
        <f>'№6'!G31</f>
        <v>29.409969693802903</v>
      </c>
      <c r="D21" s="44">
        <v>436.321</v>
      </c>
      <c r="E21" s="44">
        <v>162.27</v>
      </c>
      <c r="F21" s="45">
        <f t="shared" si="1"/>
        <v>628.000969693803</v>
      </c>
      <c r="G21" s="45">
        <f>2372.35301+4.78701+576.7905</f>
        <v>2953.93052</v>
      </c>
      <c r="H21" s="45">
        <f t="shared" si="2"/>
        <v>-2325.9295503061967</v>
      </c>
      <c r="I21" s="43">
        <f t="shared" si="3"/>
        <v>-2296.000000306197</v>
      </c>
      <c r="J21" s="43">
        <f>(D21+E21)*0.05</f>
        <v>29.929550000000003</v>
      </c>
      <c r="K21" s="52">
        <f t="shared" si="0"/>
        <v>2296.000000306197</v>
      </c>
    </row>
    <row r="22" spans="1:11" s="46" customFormat="1" ht="14.25" customHeight="1">
      <c r="A22" s="41">
        <v>9</v>
      </c>
      <c r="B22" s="42" t="s">
        <v>25</v>
      </c>
      <c r="C22" s="43">
        <f>'№6'!G32</f>
        <v>44.32926039577127</v>
      </c>
      <c r="D22" s="44">
        <v>337.968</v>
      </c>
      <c r="E22" s="44">
        <v>523.71</v>
      </c>
      <c r="F22" s="45">
        <f t="shared" si="1"/>
        <v>906.0072603957713</v>
      </c>
      <c r="G22" s="45">
        <f>2181.1393+5.91186+447.04</f>
        <v>2634.09116</v>
      </c>
      <c r="H22" s="45">
        <f t="shared" si="2"/>
        <v>-1728.0838996042287</v>
      </c>
      <c r="I22" s="43">
        <f t="shared" si="3"/>
        <v>-1684.9999996042286</v>
      </c>
      <c r="J22" s="43">
        <f>(D22+E22)*0.05</f>
        <v>43.08390000000001</v>
      </c>
      <c r="K22" s="52">
        <f t="shared" si="0"/>
        <v>1684.9999996042286</v>
      </c>
    </row>
    <row r="23" spans="1:11" s="46" customFormat="1" ht="14.25" customHeight="1">
      <c r="A23" s="41">
        <v>10</v>
      </c>
      <c r="B23" s="42" t="s">
        <v>26</v>
      </c>
      <c r="C23" s="43">
        <f>'№6'!G33</f>
        <v>50.54443866312256</v>
      </c>
      <c r="D23" s="44">
        <v>236.186</v>
      </c>
      <c r="E23" s="44">
        <v>430.63</v>
      </c>
      <c r="F23" s="45">
        <f t="shared" si="1"/>
        <v>717.3604386631225</v>
      </c>
      <c r="G23" s="45">
        <f>2433.27799+10.49455+236.2695</f>
        <v>2680.04204</v>
      </c>
      <c r="H23" s="45">
        <f t="shared" si="2"/>
        <v>-1962.6816013368773</v>
      </c>
      <c r="I23" s="43">
        <f t="shared" si="3"/>
        <v>-1896.0000013368772</v>
      </c>
      <c r="J23" s="43">
        <f>(D23+E23)*0.1</f>
        <v>66.6816</v>
      </c>
      <c r="K23" s="52">
        <f t="shared" si="0"/>
        <v>1896.0000013368772</v>
      </c>
    </row>
    <row r="24" spans="1:11" s="46" customFormat="1" ht="14.25" customHeight="1">
      <c r="A24" s="41">
        <v>11</v>
      </c>
      <c r="B24" s="42" t="s">
        <v>27</v>
      </c>
      <c r="C24" s="43">
        <f>'№6'!G34</f>
        <v>32.93196781272861</v>
      </c>
      <c r="D24" s="44">
        <v>424.428</v>
      </c>
      <c r="E24" s="44">
        <v>2250.58</v>
      </c>
      <c r="F24" s="45">
        <f t="shared" si="1"/>
        <v>2707.9399678127284</v>
      </c>
      <c r="G24" s="45">
        <f>3491.40019+78.10678+202.9338</f>
        <v>3772.4407699999997</v>
      </c>
      <c r="H24" s="45">
        <f t="shared" si="2"/>
        <v>-1064.5008021872713</v>
      </c>
      <c r="I24" s="43">
        <f>J24+H24</f>
        <v>-797.0000021872713</v>
      </c>
      <c r="J24" s="43">
        <f>(D24+E24)*0.1</f>
        <v>267.50079999999997</v>
      </c>
      <c r="K24" s="52">
        <f t="shared" si="0"/>
        <v>797.0000021872713</v>
      </c>
    </row>
    <row r="25" spans="1:11" s="46" customFormat="1" ht="14.25" customHeight="1">
      <c r="A25" s="41">
        <v>12</v>
      </c>
      <c r="B25" s="42" t="s">
        <v>28</v>
      </c>
      <c r="C25" s="43">
        <f>'№6'!G35</f>
        <v>61.2486336724854</v>
      </c>
      <c r="D25" s="44">
        <v>154.23</v>
      </c>
      <c r="E25" s="44">
        <v>223.18</v>
      </c>
      <c r="F25" s="45">
        <f t="shared" si="1"/>
        <v>438.6586336724854</v>
      </c>
      <c r="G25" s="45">
        <f>1153.40015+3.72998+275.399</f>
        <v>1432.52913</v>
      </c>
      <c r="H25" s="45">
        <f t="shared" si="2"/>
        <v>-993.8704963275145</v>
      </c>
      <c r="I25" s="43">
        <f t="shared" si="3"/>
        <v>-974.9999963275145</v>
      </c>
      <c r="J25" s="43">
        <f>(D25+E25)*0.05</f>
        <v>18.8705</v>
      </c>
      <c r="K25" s="52">
        <f t="shared" si="0"/>
        <v>974.9999963275145</v>
      </c>
    </row>
    <row r="26" spans="1:11" s="46" customFormat="1" ht="14.25" customHeight="1">
      <c r="A26" s="41">
        <v>13</v>
      </c>
      <c r="B26" s="42" t="s">
        <v>29</v>
      </c>
      <c r="C26" s="43">
        <f>'№6'!G36</f>
        <v>157.14122354092353</v>
      </c>
      <c r="D26" s="44">
        <v>400.87</v>
      </c>
      <c r="E26" s="44">
        <v>1350.18</v>
      </c>
      <c r="F26" s="45">
        <f t="shared" si="1"/>
        <v>1908.1912235409236</v>
      </c>
      <c r="G26" s="45">
        <f>4500.53021+9.55001+7.216</f>
        <v>4517.29622</v>
      </c>
      <c r="H26" s="45">
        <f t="shared" si="2"/>
        <v>-2609.1049964590766</v>
      </c>
      <c r="I26" s="43">
        <f t="shared" si="3"/>
        <v>-2433.9999964590766</v>
      </c>
      <c r="J26" s="43">
        <f>(D26+E26)*0.1</f>
        <v>175.10500000000002</v>
      </c>
      <c r="K26" s="52">
        <f t="shared" si="0"/>
        <v>2433.9999964590766</v>
      </c>
    </row>
    <row r="27" spans="1:11" s="46" customFormat="1" ht="14.25" customHeight="1">
      <c r="A27" s="41">
        <v>14</v>
      </c>
      <c r="B27" s="42" t="s">
        <v>30</v>
      </c>
      <c r="C27" s="43">
        <f>'№6'!G37</f>
        <v>229.90678231790156</v>
      </c>
      <c r="D27" s="44">
        <v>11739.066</v>
      </c>
      <c r="E27" s="44">
        <v>2453.5</v>
      </c>
      <c r="F27" s="45">
        <f t="shared" si="1"/>
        <v>14422.472782317902</v>
      </c>
      <c r="G27" s="45">
        <f>23176.36557+7.98261+769.7529</f>
        <v>23954.10108</v>
      </c>
      <c r="H27" s="45">
        <f t="shared" si="2"/>
        <v>-9531.628297682098</v>
      </c>
      <c r="I27" s="43">
        <f t="shared" si="3"/>
        <v>-8821.999997682098</v>
      </c>
      <c r="J27" s="43">
        <f>(D27+E27)*0.05</f>
        <v>709.6283000000001</v>
      </c>
      <c r="K27" s="52">
        <f t="shared" si="0"/>
        <v>8821.999997682098</v>
      </c>
    </row>
    <row r="28" spans="1:11" s="46" customFormat="1" ht="14.25" customHeight="1">
      <c r="A28" s="41">
        <v>15</v>
      </c>
      <c r="B28" s="42" t="s">
        <v>31</v>
      </c>
      <c r="C28" s="43">
        <f>'№6'!G38</f>
        <v>94.091336607796</v>
      </c>
      <c r="D28" s="44">
        <v>3404.848</v>
      </c>
      <c r="E28" s="44">
        <v>1540.04</v>
      </c>
      <c r="F28" s="45">
        <f t="shared" si="1"/>
        <v>5038.979336607796</v>
      </c>
      <c r="G28" s="45">
        <f>5925.32679+8.50645+709.3905</f>
        <v>6643.223739999999</v>
      </c>
      <c r="H28" s="45">
        <f t="shared" si="2"/>
        <v>-1604.2444033922038</v>
      </c>
      <c r="I28" s="43">
        <f t="shared" si="3"/>
        <v>-1357.0000033922038</v>
      </c>
      <c r="J28" s="43">
        <f>(D28+E28)*0.05</f>
        <v>247.2444</v>
      </c>
      <c r="K28" s="52">
        <f t="shared" si="0"/>
        <v>1357.0000033922038</v>
      </c>
    </row>
    <row r="29" spans="1:11" s="46" customFormat="1" ht="14.25" customHeight="1">
      <c r="A29" s="41">
        <v>16</v>
      </c>
      <c r="B29" s="42" t="s">
        <v>32</v>
      </c>
      <c r="C29" s="43">
        <f>'№6'!G39</f>
        <v>121.08475284773749</v>
      </c>
      <c r="D29" s="44">
        <v>4260.7</v>
      </c>
      <c r="E29" s="44">
        <v>1399.56</v>
      </c>
      <c r="F29" s="45">
        <f t="shared" si="1"/>
        <v>5781.344752847737</v>
      </c>
      <c r="G29" s="45">
        <f>8205.20916+5.48459+776.677+0.000003</f>
        <v>8987.370753</v>
      </c>
      <c r="H29" s="45">
        <f t="shared" si="2"/>
        <v>-3206.026000152262</v>
      </c>
      <c r="I29" s="43">
        <f t="shared" si="3"/>
        <v>-2640.000000152262</v>
      </c>
      <c r="J29" s="43">
        <f>(D29+E29)*0.1</f>
        <v>566.0260000000001</v>
      </c>
      <c r="K29" s="52">
        <f t="shared" si="0"/>
        <v>2640.000000152262</v>
      </c>
    </row>
    <row r="30" spans="1:11" s="46" customFormat="1" ht="14.25" customHeight="1">
      <c r="A30" s="41">
        <v>17</v>
      </c>
      <c r="B30" s="42" t="s">
        <v>33</v>
      </c>
      <c r="C30" s="43">
        <f>'№6'!G40</f>
        <v>38.176402967917234</v>
      </c>
      <c r="D30" s="44">
        <v>490.918</v>
      </c>
      <c r="E30" s="44">
        <v>775.71</v>
      </c>
      <c r="F30" s="45">
        <f t="shared" si="1"/>
        <v>1304.8044029679172</v>
      </c>
      <c r="G30" s="45">
        <f>2655.77925-44.30985+491.997803</f>
        <v>3103.467203</v>
      </c>
      <c r="H30" s="45">
        <f t="shared" si="2"/>
        <v>-1798.662800032083</v>
      </c>
      <c r="I30" s="43">
        <f t="shared" si="3"/>
        <v>-1672.0000000320829</v>
      </c>
      <c r="J30" s="43">
        <f>(D30+E30)*0.1</f>
        <v>126.66280000000002</v>
      </c>
      <c r="K30" s="52">
        <f t="shared" si="0"/>
        <v>1672.0000000320829</v>
      </c>
    </row>
    <row r="31" spans="1:11" ht="23.25" customHeight="1">
      <c r="A31" s="47"/>
      <c r="B31" s="48" t="s">
        <v>63</v>
      </c>
      <c r="C31" s="53">
        <f aca="true" t="shared" si="4" ref="C31:J31">SUM(C14:C30)</f>
        <v>1530.0000000000002</v>
      </c>
      <c r="D31" s="53">
        <f>SUM(D14:D30)</f>
        <v>46340.200999999994</v>
      </c>
      <c r="E31" s="53">
        <f t="shared" si="4"/>
        <v>31263.040000000005</v>
      </c>
      <c r="F31" s="53">
        <f>SUM(F14:F30)</f>
        <v>79133.241</v>
      </c>
      <c r="G31" s="53">
        <f>SUM(G14:G30)</f>
        <v>118679.095496</v>
      </c>
      <c r="H31" s="53">
        <f t="shared" si="4"/>
        <v>-39545.854496</v>
      </c>
      <c r="I31" s="53">
        <f t="shared" si="4"/>
        <v>-33026.99999599999</v>
      </c>
      <c r="J31" s="53">
        <f t="shared" si="4"/>
        <v>6518.8544999999995</v>
      </c>
      <c r="K31" s="53">
        <f>SUM(K14:K30)</f>
        <v>33026.99999599999</v>
      </c>
    </row>
  </sheetData>
  <mergeCells count="15">
    <mergeCell ref="G1:K1"/>
    <mergeCell ref="G2:K2"/>
    <mergeCell ref="G3:K3"/>
    <mergeCell ref="G4:K4"/>
    <mergeCell ref="B6:I6"/>
    <mergeCell ref="B7:I7"/>
    <mergeCell ref="C10:F10"/>
    <mergeCell ref="G10:G12"/>
    <mergeCell ref="H10:H12"/>
    <mergeCell ref="J10:J12"/>
    <mergeCell ref="K10:K12"/>
    <mergeCell ref="C11:C12"/>
    <mergeCell ref="D11:D12"/>
    <mergeCell ref="E11:E12"/>
    <mergeCell ref="F11:F12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Закон о бюджете на 1997 год</dc:title>
  <dc:subject/>
  <dc:creator>Tenjaew Dmitrj Alexandrowitch</dc:creator>
  <cp:keywords/>
  <dc:description/>
  <cp:lastModifiedBy>Администратор</cp:lastModifiedBy>
  <cp:lastPrinted>2010-12-22T09:08:53Z</cp:lastPrinted>
  <dcterms:created xsi:type="dcterms:W3CDTF">1998-09-07T09:31:30Z</dcterms:created>
  <dcterms:modified xsi:type="dcterms:W3CDTF">2010-12-22T09:09:17Z</dcterms:modified>
  <cp:category/>
  <cp:version/>
  <cp:contentType/>
  <cp:contentStatus/>
</cp:coreProperties>
</file>